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12120" activeTab="0"/>
  </bookViews>
  <sheets>
    <sheet name="Financials" sheetId="1" r:id="rId1"/>
    <sheet name="News" sheetId="2" r:id="rId2"/>
    <sheet name="Ratings" sheetId="3" r:id="rId3"/>
  </sheets>
  <definedNames/>
  <calcPr fullCalcOnLoad="1"/>
</workbook>
</file>

<file path=xl/sharedStrings.xml><?xml version="1.0" encoding="utf-8"?>
<sst xmlns="http://schemas.openxmlformats.org/spreadsheetml/2006/main" count="208" uniqueCount="125">
  <si>
    <t>2007 H2</t>
  </si>
  <si>
    <t>2007H1</t>
  </si>
  <si>
    <t>2006 H2</t>
  </si>
  <si>
    <t>2006 H1</t>
  </si>
  <si>
    <t>2005 H2</t>
  </si>
  <si>
    <t>2005 H1</t>
  </si>
  <si>
    <t>2004 H2</t>
  </si>
  <si>
    <t>2004 H1</t>
  </si>
  <si>
    <t>2003 H2</t>
  </si>
  <si>
    <t>2003 H1</t>
  </si>
  <si>
    <t>2002 H2</t>
  </si>
  <si>
    <t>2002 H1</t>
  </si>
  <si>
    <t>2001 H1</t>
  </si>
  <si>
    <t>2001 H2</t>
  </si>
  <si>
    <t>2000 H2</t>
  </si>
  <si>
    <t>2000 H1</t>
  </si>
  <si>
    <t>Revenue</t>
  </si>
  <si>
    <t>Cost of Sales</t>
  </si>
  <si>
    <t>Gross Profit</t>
  </si>
  <si>
    <t>Selling expenses</t>
  </si>
  <si>
    <t>General and administrative expenses</t>
  </si>
  <si>
    <t>Earnings before interest and taxes (EBIT)</t>
  </si>
  <si>
    <t>Financial income and expenses</t>
  </si>
  <si>
    <t>Earnings before taxes (EBT)</t>
  </si>
  <si>
    <t>Income taxes</t>
  </si>
  <si>
    <t>Income from unconsolidated investments and discontinued operations (net of income taxes)</t>
  </si>
  <si>
    <t>Net earnings</t>
  </si>
  <si>
    <t>Intangible fixed assets</t>
  </si>
  <si>
    <t>Tangible fixed assets</t>
  </si>
  <si>
    <t>Total current assets</t>
  </si>
  <si>
    <t>Total assets</t>
  </si>
  <si>
    <t>Short-term interest bearning debt</t>
  </si>
  <si>
    <t>Long-term debt</t>
  </si>
  <si>
    <t>Provisions</t>
  </si>
  <si>
    <t>Shareholders' equity</t>
  </si>
  <si>
    <t>Minority interests</t>
  </si>
  <si>
    <t>Subordinated convertibles</t>
  </si>
  <si>
    <t>Cash flow from operations</t>
  </si>
  <si>
    <t>Cash flow from capital expenditures</t>
  </si>
  <si>
    <t>Cash flow from financing activities</t>
  </si>
  <si>
    <t>NOPAT to net capital</t>
  </si>
  <si>
    <t>Statutory tax rate</t>
  </si>
  <si>
    <t>NOPAT</t>
  </si>
  <si>
    <t>NOPAT (past year)</t>
  </si>
  <si>
    <t>Net capital</t>
  </si>
  <si>
    <t>Cash flow from operations to total debt</t>
  </si>
  <si>
    <t>Net debt</t>
  </si>
  <si>
    <t>Net debt to net capital</t>
  </si>
  <si>
    <t>Amortisation/impairment of intangible assets</t>
  </si>
  <si>
    <t>Other non-current assets</t>
  </si>
  <si>
    <t>Assets held for sale</t>
  </si>
  <si>
    <t>-</t>
  </si>
  <si>
    <t>Non-current liabilities and short-term debt</t>
  </si>
  <si>
    <t>Current liabilities (excl. short-term debt)</t>
  </si>
  <si>
    <t>Employee benefit plans</t>
  </si>
  <si>
    <t>Provisions for liabilities and charges</t>
  </si>
  <si>
    <t>Deferred income tax liabilities</t>
  </si>
  <si>
    <t>Other non-current liabilities</t>
  </si>
  <si>
    <t>Total equity and liabilities</t>
  </si>
  <si>
    <t>Liabilities from discontinued activities</t>
  </si>
  <si>
    <t>Other operating expenses/income</t>
  </si>
  <si>
    <t xml:space="preserve"> - of which cash and cash equivalents</t>
  </si>
  <si>
    <t>Total non-current assets</t>
  </si>
  <si>
    <t>Pretax interest coverage</t>
  </si>
  <si>
    <t>Date</t>
  </si>
  <si>
    <t>Announcement</t>
  </si>
  <si>
    <t>First half-year report</t>
  </si>
  <si>
    <t>Annual results 2002 announcement</t>
  </si>
  <si>
    <t>Annual results 2003 announcement</t>
  </si>
  <si>
    <t>Market capitalization at year end</t>
  </si>
  <si>
    <t>CEO Peter van Voorst and CFO Jan Docter step down. The new CEO of Getronics is Klaas Wagenaar.</t>
  </si>
  <si>
    <t>Getronics announces to reduce debt by selling assets rather than offering bondholders equity.</t>
  </si>
  <si>
    <t>Getronics sells Getronics HR Solutions for e315 million in cash (and realizes a profit on the sale of e270 million).</t>
  </si>
  <si>
    <t>Royal KPN offers to acquire Getronics.</t>
  </si>
  <si>
    <t>Getronics issues e100 million in convertible debt (to replace maturing debt).</t>
  </si>
  <si>
    <t>Getronics immediately repays bondholders e325 million (in cash) and agrees for the repayment of the remaining e250 million in installments. The agreement resolves the company's conflict with its convertible bondholders.</t>
  </si>
  <si>
    <t>Getronics obtains a new credit facility of e175 million from a consortium of banks.</t>
  </si>
  <si>
    <t>Getronics announces the acquisition of industry peer PinkRoccade N.V for the amount of e350 million. The company will obtain a new credit facility of e125 million that, together with the credit facility obtained in April, will be used to finance the acquisition.</t>
  </si>
  <si>
    <t>Getronics obtains a loan of e100 million, which will be used to replace a e200 million credit facility.</t>
  </si>
  <si>
    <t>Getronics issues e95 million in convertible bonds (to replace maturing bonds).</t>
  </si>
  <si>
    <t>Getronics issues new shares (proceeds: e388 million).</t>
  </si>
  <si>
    <t>Annual results 2004 announcement</t>
  </si>
  <si>
    <t>Getronics issues e150 million in unsecured convertible debt (to replace maturing bonds).</t>
  </si>
  <si>
    <t>CFO Theo Janssen resigns unexpectedly. Soon two other Board Members follow.</t>
  </si>
  <si>
    <t>First half-year report.</t>
  </si>
  <si>
    <t>First half-year report. Dissappointing results cause share prices to deline by close to 24 percent. Getronics announces restructuring plans.</t>
  </si>
  <si>
    <t>Getronics sells its Italian subsidiary to Eutelia for an estimated amount of e135 million, realizing a loss of e50 million. The sale helps the company to meet its debt covenants again.</t>
  </si>
  <si>
    <t>Annual results 2005 announcement. Getronics also announces that its Italian subsidiary has committed fraud, hiding e15 million in expenses.</t>
  </si>
  <si>
    <t>Annual results 2006 announcement. Getronics announces its annual results early. The company realized an unexpected loss of e145 million.</t>
  </si>
  <si>
    <t>Annual results 2000 announcement</t>
  </si>
  <si>
    <t>Getronics signs e75 million contract with Shell.</t>
  </si>
  <si>
    <t>Getronics sells its ATM business, realizing a profit on the sale.</t>
  </si>
  <si>
    <t>Getronics issues e450 in subordinated convertible debt (to replace maturing debt).</t>
  </si>
  <si>
    <t>Annual results 1999 announcement. The acquisition of Wang Global boosts the company's results. The company announces ambitious growth plans.</t>
  </si>
  <si>
    <t>First half 2000</t>
  </si>
  <si>
    <t>End of the dot-com bubble. Technology shares decline.</t>
  </si>
  <si>
    <t>Getronics announces that this year's earnings will be below expectations. Getronics' share price declines by 42 percent.</t>
  </si>
  <si>
    <t>Getronics acquires US-based industry peer Wang Global; the company finances the acquisition through a mixture of new equity (e0.7 bln common and e0.3 bln preferred) and debt (e0.5bn loans and e0.3bn convertible bonds). The amount of goodwill that Getronics recognized on the transaction is close to e2.4 bln.</t>
  </si>
  <si>
    <t>BBB-, negative</t>
  </si>
  <si>
    <t>Rating, outlook</t>
  </si>
  <si>
    <t>BBB-, stable</t>
  </si>
  <si>
    <t>BBB-, watch negative</t>
  </si>
  <si>
    <t>BB+, stable</t>
  </si>
  <si>
    <t>BB+, negative</t>
  </si>
  <si>
    <t>B, watch negative</t>
  </si>
  <si>
    <t>CC, watch dev</t>
  </si>
  <si>
    <t>B-, watch dev</t>
  </si>
  <si>
    <t>B-, watch positive</t>
  </si>
  <si>
    <t>B, stable</t>
  </si>
  <si>
    <t>B, watch positive</t>
  </si>
  <si>
    <t>B+, positive</t>
  </si>
  <si>
    <t>B+, stable</t>
  </si>
  <si>
    <t>B+, watch negative</t>
  </si>
  <si>
    <t>B-, negative</t>
  </si>
  <si>
    <t>BBB+, negative</t>
  </si>
  <si>
    <t>Getronics offers (mostly institutional) subordinated convertible bondholders equity in exchange for their bonds. Convertible bondholders deny the offer, resulting in a conflict between management and bondholders.</t>
  </si>
  <si>
    <t>Getronics exchanges e295.3 million of subordinated convertible bonds for equity.</t>
  </si>
  <si>
    <t>Getronics signs e90 million contract with Barclays.</t>
  </si>
  <si>
    <t>Getronics receives four bids for its Italian subsidiary.</t>
  </si>
  <si>
    <t>Getronics sells 100 million new shares to institutional investors (proceeds: e233 million). The proceeds are used to repay e250 million in subordinated instalment bonds on March 30, 2004.</t>
  </si>
  <si>
    <t>Getronics repays all its amounts outstanding under the e500 million credit facility.</t>
  </si>
  <si>
    <t>Getronics' CEO Cees van Luijk resigns and is succeeded by Peter van Voorst.</t>
  </si>
  <si>
    <t>Getronics' share price drops close to 40 percent after rumors that the company is close to applying for bankruptcy.</t>
  </si>
  <si>
    <t>Getronics announces that it plans to repurchase some of its outstanding convertible bonds</t>
  </si>
  <si>
    <t>Annual results 2001 announcement. Getronics decides to freeze wages of its employees after incurring a record loss.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</si>
</sst>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409]mmmm\ d\,\ yyyy;@"/>
  </numFmts>
  <fonts count="38">
    <font>
      <sz val="11"/>
      <color theme="1"/>
      <name val="Calibri"/>
      <family val="2"/>
    </font>
    <font>
      <sz val="11"/>
      <color indexed="8"/>
      <name val="Calibri"/>
      <family val="2"/>
    </font>
    <font>
      <sz val="11"/>
      <color indexed="10"/>
      <name val="Calibri"/>
      <family val="2"/>
    </font>
    <font>
      <b/>
      <sz val="11"/>
      <color indexed="8"/>
      <name val="Calibri"/>
      <family val="2"/>
    </font>
    <font>
      <sz val="8"/>
      <name val="Calibri"/>
      <family val="2"/>
    </font>
    <font>
      <sz val="11"/>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3" fillId="0" borderId="0" xfId="0" applyFont="1" applyAlignment="1">
      <alignment/>
    </xf>
    <xf numFmtId="0" fontId="0" fillId="0" borderId="0" xfId="0" applyFont="1" applyAlignment="1">
      <alignment/>
    </xf>
    <xf numFmtId="172" fontId="3" fillId="0" borderId="0" xfId="0" applyNumberFormat="1" applyFont="1" applyAlignment="1">
      <alignment/>
    </xf>
    <xf numFmtId="0" fontId="0" fillId="0" borderId="0" xfId="0" applyAlignment="1">
      <alignment horizontal="center"/>
    </xf>
    <xf numFmtId="10" fontId="0" fillId="0" borderId="0" xfId="0" applyNumberFormat="1" applyAlignment="1">
      <alignment/>
    </xf>
    <xf numFmtId="0" fontId="2" fillId="0" borderId="0" xfId="0" applyFont="1" applyAlignment="1">
      <alignment horizontal="center"/>
    </xf>
    <xf numFmtId="0" fontId="5" fillId="0" borderId="0" xfId="0" applyFont="1" applyAlignment="1">
      <alignment/>
    </xf>
    <xf numFmtId="174" fontId="0" fillId="0" borderId="0" xfId="0" applyNumberFormat="1" applyAlignment="1">
      <alignment/>
    </xf>
    <xf numFmtId="174" fontId="0" fillId="0" borderId="0" xfId="0" applyNumberForma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tabSelected="1" zoomScalePageLayoutView="0" workbookViewId="0" topLeftCell="A1">
      <selection activeCell="A1" sqref="A1"/>
    </sheetView>
  </sheetViews>
  <sheetFormatPr defaultColWidth="9.140625" defaultRowHeight="15"/>
  <cols>
    <col min="1" max="1" width="38.00390625" style="0" customWidth="1"/>
  </cols>
  <sheetData>
    <row r="1" spans="2:17" ht="15">
      <c r="B1" t="s">
        <v>0</v>
      </c>
      <c r="C1" t="s">
        <v>1</v>
      </c>
      <c r="D1" t="s">
        <v>2</v>
      </c>
      <c r="E1" t="s">
        <v>3</v>
      </c>
      <c r="F1" t="s">
        <v>4</v>
      </c>
      <c r="G1" t="s">
        <v>5</v>
      </c>
      <c r="H1" t="s">
        <v>6</v>
      </c>
      <c r="I1" t="s">
        <v>7</v>
      </c>
      <c r="J1" t="s">
        <v>8</v>
      </c>
      <c r="K1" t="s">
        <v>9</v>
      </c>
      <c r="L1" t="s">
        <v>10</v>
      </c>
      <c r="M1" t="s">
        <v>11</v>
      </c>
      <c r="N1" t="s">
        <v>13</v>
      </c>
      <c r="O1" t="s">
        <v>12</v>
      </c>
      <c r="P1" t="s">
        <v>14</v>
      </c>
      <c r="Q1" t="s">
        <v>15</v>
      </c>
    </row>
    <row r="2" spans="1:17" ht="15">
      <c r="A2" t="s">
        <v>16</v>
      </c>
      <c r="B2">
        <f>2504-C2</f>
        <v>1224</v>
      </c>
      <c r="C2">
        <v>1280</v>
      </c>
      <c r="D2">
        <f>2627-E2</f>
        <v>1319</v>
      </c>
      <c r="E2">
        <v>1308</v>
      </c>
      <c r="F2">
        <f>2593-G2</f>
        <v>1271</v>
      </c>
      <c r="G2">
        <v>1322</v>
      </c>
      <c r="H2">
        <f>2106-I2</f>
        <v>918</v>
      </c>
      <c r="I2">
        <v>1188</v>
      </c>
      <c r="J2">
        <f>2671-K2</f>
        <v>1308</v>
      </c>
      <c r="K2">
        <v>1363</v>
      </c>
      <c r="L2">
        <f>3595-M2</f>
        <v>1757</v>
      </c>
      <c r="M2">
        <v>1838</v>
      </c>
      <c r="N2">
        <f>4149-O2</f>
        <v>2048</v>
      </c>
      <c r="O2">
        <v>2101</v>
      </c>
      <c r="P2">
        <f>4127-Q2</f>
        <v>2214</v>
      </c>
      <c r="Q2">
        <v>1913</v>
      </c>
    </row>
    <row r="3" spans="1:17" ht="15">
      <c r="A3" t="s">
        <v>17</v>
      </c>
      <c r="B3">
        <f>-2047-C3</f>
        <v>-996</v>
      </c>
      <c r="C3">
        <v>-1051</v>
      </c>
      <c r="D3">
        <f>-2102-E3</f>
        <v>-1040</v>
      </c>
      <c r="E3">
        <v>-1062</v>
      </c>
      <c r="F3">
        <f>-2067-G3</f>
        <v>-988</v>
      </c>
      <c r="G3">
        <v>-1079</v>
      </c>
      <c r="H3">
        <f>-1721-I3</f>
        <v>-740</v>
      </c>
      <c r="I3">
        <v>-981</v>
      </c>
      <c r="J3">
        <f>-2234-K3</f>
        <v>-1103</v>
      </c>
      <c r="K3">
        <f>232-K2</f>
        <v>-1131</v>
      </c>
      <c r="L3">
        <f>-2958-M3</f>
        <v>-1463</v>
      </c>
      <c r="M3">
        <f>343-M2</f>
        <v>-1495</v>
      </c>
      <c r="N3">
        <f>-3426-O3</f>
        <v>-1703</v>
      </c>
      <c r="O3">
        <v>-1723</v>
      </c>
      <c r="P3">
        <f>-3282+1514</f>
        <v>-1768</v>
      </c>
      <c r="Q3">
        <v>-1514</v>
      </c>
    </row>
    <row r="4" spans="1:17" s="1" customFormat="1" ht="15">
      <c r="A4" s="1" t="s">
        <v>18</v>
      </c>
      <c r="B4" s="1">
        <f aca="true" t="shared" si="0" ref="B4:Q4">SUM(B2:B3)</f>
        <v>228</v>
      </c>
      <c r="C4" s="1">
        <f t="shared" si="0"/>
        <v>229</v>
      </c>
      <c r="D4" s="1">
        <f t="shared" si="0"/>
        <v>279</v>
      </c>
      <c r="E4" s="1">
        <f t="shared" si="0"/>
        <v>246</v>
      </c>
      <c r="F4" s="1">
        <f t="shared" si="0"/>
        <v>283</v>
      </c>
      <c r="G4" s="1">
        <f t="shared" si="0"/>
        <v>243</v>
      </c>
      <c r="H4" s="1">
        <f t="shared" si="0"/>
        <v>178</v>
      </c>
      <c r="I4" s="1">
        <f t="shared" si="0"/>
        <v>207</v>
      </c>
      <c r="J4" s="1">
        <f t="shared" si="0"/>
        <v>205</v>
      </c>
      <c r="K4" s="1">
        <f t="shared" si="0"/>
        <v>232</v>
      </c>
      <c r="L4" s="1">
        <f t="shared" si="0"/>
        <v>294</v>
      </c>
      <c r="M4" s="1">
        <f t="shared" si="0"/>
        <v>343</v>
      </c>
      <c r="N4" s="1">
        <f t="shared" si="0"/>
        <v>345</v>
      </c>
      <c r="O4" s="1">
        <f t="shared" si="0"/>
        <v>378</v>
      </c>
      <c r="P4" s="1">
        <f t="shared" si="0"/>
        <v>446</v>
      </c>
      <c r="Q4" s="1">
        <f t="shared" si="0"/>
        <v>399</v>
      </c>
    </row>
    <row r="5" spans="1:17" ht="15">
      <c r="A5" t="s">
        <v>19</v>
      </c>
      <c r="B5">
        <f>-188-C5</f>
        <v>-91</v>
      </c>
      <c r="C5">
        <v>-97</v>
      </c>
      <c r="D5">
        <f>-207-E5</f>
        <v>-99</v>
      </c>
      <c r="E5">
        <v>-108</v>
      </c>
      <c r="F5">
        <f>-193-G5</f>
        <v>-95</v>
      </c>
      <c r="G5">
        <v>-98</v>
      </c>
      <c r="H5">
        <f>-154-I5</f>
        <v>-68</v>
      </c>
      <c r="I5">
        <v>-86</v>
      </c>
      <c r="J5">
        <f>-176-K5</f>
        <v>-84</v>
      </c>
      <c r="K5" s="7">
        <v>-92</v>
      </c>
      <c r="L5">
        <f>-256-M5</f>
        <v>-124</v>
      </c>
      <c r="M5">
        <v>-132</v>
      </c>
      <c r="N5">
        <f>-266-O5</f>
        <v>-135</v>
      </c>
      <c r="O5">
        <v>-131</v>
      </c>
      <c r="P5">
        <f>-256+125</f>
        <v>-131</v>
      </c>
      <c r="Q5">
        <v>-125</v>
      </c>
    </row>
    <row r="6" spans="1:17" ht="15">
      <c r="A6" t="s">
        <v>20</v>
      </c>
      <c r="B6">
        <f>-261-C6</f>
        <v>-153</v>
      </c>
      <c r="C6">
        <v>-108</v>
      </c>
      <c r="D6">
        <f>-217-E6</f>
        <v>-111</v>
      </c>
      <c r="E6">
        <v>-106</v>
      </c>
      <c r="F6">
        <f>-204-G6</f>
        <v>-98</v>
      </c>
      <c r="G6">
        <v>-106</v>
      </c>
      <c r="H6">
        <f>-161-I6</f>
        <v>-67</v>
      </c>
      <c r="I6">
        <v>-94</v>
      </c>
      <c r="J6">
        <f>-233-K6</f>
        <v>-105</v>
      </c>
      <c r="K6" s="7">
        <f>-220-K5</f>
        <v>-128</v>
      </c>
      <c r="L6">
        <f>-277-M6</f>
        <v>-126</v>
      </c>
      <c r="M6">
        <v>-151</v>
      </c>
      <c r="N6">
        <f>-310-O6</f>
        <v>-148</v>
      </c>
      <c r="O6">
        <v>-162</v>
      </c>
      <c r="P6">
        <f>-341+161</f>
        <v>-180</v>
      </c>
      <c r="Q6">
        <v>-161</v>
      </c>
    </row>
    <row r="7" spans="1:17" s="2" customFormat="1" ht="15">
      <c r="A7" t="s">
        <v>60</v>
      </c>
      <c r="B7" s="2">
        <f>-13-C7</f>
        <v>0</v>
      </c>
      <c r="C7" s="2">
        <v>-13</v>
      </c>
      <c r="D7" s="2">
        <f>-13-E7</f>
        <v>-2</v>
      </c>
      <c r="E7" s="2">
        <v>-11</v>
      </c>
      <c r="F7" s="2">
        <f>-46-G7</f>
        <v>-43</v>
      </c>
      <c r="G7" s="2">
        <v>-3</v>
      </c>
      <c r="H7" s="2">
        <f>0-I7</f>
        <v>-6</v>
      </c>
      <c r="I7" s="2">
        <v>6</v>
      </c>
      <c r="J7" s="2">
        <f>-47-K7</f>
        <v>15</v>
      </c>
      <c r="K7" s="2">
        <v>-62</v>
      </c>
      <c r="L7" s="2">
        <f>-33-M7</f>
        <v>-33</v>
      </c>
      <c r="M7" s="2">
        <v>0</v>
      </c>
      <c r="N7" s="2">
        <f>3</f>
        <v>3</v>
      </c>
      <c r="O7" s="4" t="s">
        <v>51</v>
      </c>
      <c r="P7" s="4" t="s">
        <v>51</v>
      </c>
      <c r="Q7" s="4" t="s">
        <v>51</v>
      </c>
    </row>
    <row r="8" spans="1:17" ht="15">
      <c r="A8" t="s">
        <v>48</v>
      </c>
      <c r="B8">
        <f>-101-C8</f>
        <v>-13</v>
      </c>
      <c r="C8" s="2">
        <v>-88</v>
      </c>
      <c r="D8">
        <f>-65-E8</f>
        <v>-65</v>
      </c>
      <c r="E8" s="2">
        <v>0</v>
      </c>
      <c r="F8">
        <v>0</v>
      </c>
      <c r="G8" s="2">
        <v>0</v>
      </c>
      <c r="H8" s="2">
        <v>0</v>
      </c>
      <c r="I8" s="2">
        <v>0</v>
      </c>
      <c r="J8">
        <f>-43-K8</f>
        <v>-22</v>
      </c>
      <c r="K8">
        <v>-21</v>
      </c>
      <c r="L8">
        <f>-375-58-M8</f>
        <v>-403</v>
      </c>
      <c r="M8">
        <v>-30</v>
      </c>
      <c r="N8">
        <f>-102-930-O8</f>
        <v>-983</v>
      </c>
      <c r="O8">
        <v>-49</v>
      </c>
      <c r="P8">
        <f>-98+48</f>
        <v>-50</v>
      </c>
      <c r="Q8">
        <v>-48</v>
      </c>
    </row>
    <row r="9" spans="1:17" s="1" customFormat="1" ht="15">
      <c r="A9" s="1" t="s">
        <v>21</v>
      </c>
      <c r="B9" s="1">
        <f aca="true" t="shared" si="1" ref="B9:Q9">SUM(B4:B8)</f>
        <v>-29</v>
      </c>
      <c r="C9" s="1">
        <f t="shared" si="1"/>
        <v>-77</v>
      </c>
      <c r="D9" s="1">
        <f t="shared" si="1"/>
        <v>2</v>
      </c>
      <c r="E9" s="1">
        <f t="shared" si="1"/>
        <v>21</v>
      </c>
      <c r="F9" s="1">
        <f t="shared" si="1"/>
        <v>47</v>
      </c>
      <c r="G9" s="1">
        <f t="shared" si="1"/>
        <v>36</v>
      </c>
      <c r="H9" s="1">
        <f t="shared" si="1"/>
        <v>37</v>
      </c>
      <c r="I9" s="1">
        <f t="shared" si="1"/>
        <v>33</v>
      </c>
      <c r="J9" s="1">
        <f t="shared" si="1"/>
        <v>9</v>
      </c>
      <c r="K9" s="1">
        <f t="shared" si="1"/>
        <v>-71</v>
      </c>
      <c r="L9" s="1">
        <f t="shared" si="1"/>
        <v>-392</v>
      </c>
      <c r="M9" s="1">
        <f t="shared" si="1"/>
        <v>30</v>
      </c>
      <c r="N9" s="1">
        <f t="shared" si="1"/>
        <v>-918</v>
      </c>
      <c r="O9" s="1">
        <f t="shared" si="1"/>
        <v>36</v>
      </c>
      <c r="P9" s="1">
        <f t="shared" si="1"/>
        <v>85</v>
      </c>
      <c r="Q9" s="1">
        <f t="shared" si="1"/>
        <v>65</v>
      </c>
    </row>
    <row r="10" spans="1:17" ht="15">
      <c r="A10" t="s">
        <v>22</v>
      </c>
      <c r="B10">
        <f>-51-C10</f>
        <v>-29</v>
      </c>
      <c r="C10" s="2">
        <v>-22</v>
      </c>
      <c r="D10">
        <f>-63-E10</f>
        <v>-40</v>
      </c>
      <c r="E10" s="2">
        <v>-23</v>
      </c>
      <c r="F10">
        <f>-63-G10</f>
        <v>-17</v>
      </c>
      <c r="G10" s="2">
        <v>-46</v>
      </c>
      <c r="H10">
        <f>-23-I10</f>
        <v>-2</v>
      </c>
      <c r="I10" s="2">
        <v>-21</v>
      </c>
      <c r="J10">
        <f>-58-K10</f>
        <v>-23</v>
      </c>
      <c r="K10">
        <v>-35</v>
      </c>
      <c r="L10">
        <f>-28-M10</f>
        <v>-13</v>
      </c>
      <c r="M10">
        <v>-15</v>
      </c>
      <c r="N10">
        <f>-47-O10</f>
        <v>-17</v>
      </c>
      <c r="O10">
        <v>-30</v>
      </c>
      <c r="P10">
        <f>-43+19</f>
        <v>-24</v>
      </c>
      <c r="Q10">
        <v>-19</v>
      </c>
    </row>
    <row r="11" spans="1:17" s="1" customFormat="1" ht="15">
      <c r="A11" s="1" t="s">
        <v>23</v>
      </c>
      <c r="B11" s="1">
        <f aca="true" t="shared" si="2" ref="B11:Q11">SUM(B9:B10)</f>
        <v>-58</v>
      </c>
      <c r="C11" s="1">
        <f t="shared" si="2"/>
        <v>-99</v>
      </c>
      <c r="D11" s="1">
        <f t="shared" si="2"/>
        <v>-38</v>
      </c>
      <c r="E11" s="1">
        <f t="shared" si="2"/>
        <v>-2</v>
      </c>
      <c r="F11" s="1">
        <f t="shared" si="2"/>
        <v>30</v>
      </c>
      <c r="G11" s="1">
        <f t="shared" si="2"/>
        <v>-10</v>
      </c>
      <c r="H11" s="1">
        <f t="shared" si="2"/>
        <v>35</v>
      </c>
      <c r="I11" s="1">
        <f t="shared" si="2"/>
        <v>12</v>
      </c>
      <c r="J11" s="1">
        <f t="shared" si="2"/>
        <v>-14</v>
      </c>
      <c r="K11" s="1">
        <f t="shared" si="2"/>
        <v>-106</v>
      </c>
      <c r="L11" s="1">
        <f t="shared" si="2"/>
        <v>-405</v>
      </c>
      <c r="M11" s="1">
        <f t="shared" si="2"/>
        <v>15</v>
      </c>
      <c r="N11" s="1">
        <f t="shared" si="2"/>
        <v>-935</v>
      </c>
      <c r="O11" s="1">
        <f t="shared" si="2"/>
        <v>6</v>
      </c>
      <c r="P11" s="1">
        <f t="shared" si="2"/>
        <v>61</v>
      </c>
      <c r="Q11" s="1">
        <f t="shared" si="2"/>
        <v>46</v>
      </c>
    </row>
    <row r="12" spans="1:17" ht="15">
      <c r="A12" t="s">
        <v>24</v>
      </c>
      <c r="B12">
        <f>-3-C12</f>
        <v>6</v>
      </c>
      <c r="C12" s="2">
        <v>-9</v>
      </c>
      <c r="D12">
        <f>-14-E12</f>
        <v>-38</v>
      </c>
      <c r="E12" s="2">
        <v>24</v>
      </c>
      <c r="F12">
        <f>24-G12</f>
        <v>24</v>
      </c>
      <c r="G12" s="2">
        <v>0</v>
      </c>
      <c r="H12">
        <f>56-I12</f>
        <v>60</v>
      </c>
      <c r="I12" s="2">
        <v>-4</v>
      </c>
      <c r="J12">
        <f>96-K12</f>
        <v>22</v>
      </c>
      <c r="K12">
        <v>74</v>
      </c>
      <c r="L12">
        <f>-20-M12</f>
        <v>-9</v>
      </c>
      <c r="M12">
        <v>-11</v>
      </c>
      <c r="N12">
        <f>-26-O12</f>
        <v>-12</v>
      </c>
      <c r="O12">
        <v>-14</v>
      </c>
      <c r="P12">
        <f>-48+22</f>
        <v>-26</v>
      </c>
      <c r="Q12">
        <v>-22</v>
      </c>
    </row>
    <row r="13" spans="1:17" ht="15">
      <c r="A13" t="s">
        <v>25</v>
      </c>
      <c r="B13">
        <v>1</v>
      </c>
      <c r="C13" s="1">
        <v>0</v>
      </c>
      <c r="D13">
        <f>-91-E13</f>
        <v>-28</v>
      </c>
      <c r="E13" s="1">
        <v>-63</v>
      </c>
      <c r="F13">
        <f>13-53-G13</f>
        <v>-40</v>
      </c>
      <c r="G13" s="2">
        <v>0</v>
      </c>
      <c r="H13">
        <f>3-50-I13</f>
        <v>-47</v>
      </c>
      <c r="I13" s="1">
        <v>0</v>
      </c>
      <c r="J13">
        <f>270-K13</f>
        <v>9</v>
      </c>
      <c r="K13" s="1">
        <v>261</v>
      </c>
      <c r="L13">
        <f>0-M13</f>
        <v>0</v>
      </c>
      <c r="M13" s="1">
        <v>0</v>
      </c>
      <c r="N13">
        <f>-84-O13</f>
        <v>-8</v>
      </c>
      <c r="O13">
        <v>-76</v>
      </c>
      <c r="P13">
        <f>3-31</f>
        <v>-28</v>
      </c>
      <c r="Q13">
        <v>31</v>
      </c>
    </row>
    <row r="14" spans="1:17" s="1" customFormat="1" ht="15">
      <c r="A14" s="1" t="s">
        <v>26</v>
      </c>
      <c r="B14" s="1">
        <f aca="true" t="shared" si="3" ref="B14:Q14">SUM(B11:B13)</f>
        <v>-51</v>
      </c>
      <c r="C14" s="1">
        <f t="shared" si="3"/>
        <v>-108</v>
      </c>
      <c r="D14" s="1">
        <f t="shared" si="3"/>
        <v>-104</v>
      </c>
      <c r="E14" s="1">
        <f t="shared" si="3"/>
        <v>-41</v>
      </c>
      <c r="F14" s="1">
        <f t="shared" si="3"/>
        <v>14</v>
      </c>
      <c r="G14" s="1">
        <f t="shared" si="3"/>
        <v>-10</v>
      </c>
      <c r="H14" s="1">
        <f t="shared" si="3"/>
        <v>48</v>
      </c>
      <c r="I14" s="1">
        <f t="shared" si="3"/>
        <v>8</v>
      </c>
      <c r="J14" s="1">
        <f t="shared" si="3"/>
        <v>17</v>
      </c>
      <c r="K14" s="1">
        <f t="shared" si="3"/>
        <v>229</v>
      </c>
      <c r="L14" s="1">
        <f t="shared" si="3"/>
        <v>-414</v>
      </c>
      <c r="M14" s="1">
        <f t="shared" si="3"/>
        <v>4</v>
      </c>
      <c r="N14" s="1">
        <f t="shared" si="3"/>
        <v>-955</v>
      </c>
      <c r="O14" s="1">
        <f t="shared" si="3"/>
        <v>-84</v>
      </c>
      <c r="P14" s="1">
        <f t="shared" si="3"/>
        <v>7</v>
      </c>
      <c r="Q14" s="1">
        <f t="shared" si="3"/>
        <v>55</v>
      </c>
    </row>
    <row r="16" spans="1:17" ht="15">
      <c r="A16" t="s">
        <v>27</v>
      </c>
      <c r="B16">
        <v>517</v>
      </c>
      <c r="C16">
        <v>534</v>
      </c>
      <c r="D16">
        <v>681</v>
      </c>
      <c r="E16">
        <v>896</v>
      </c>
      <c r="F16">
        <v>913</v>
      </c>
      <c r="G16">
        <v>925</v>
      </c>
      <c r="H16">
        <v>530</v>
      </c>
      <c r="I16">
        <v>553</v>
      </c>
      <c r="J16">
        <v>623</v>
      </c>
      <c r="K16" s="6" t="s">
        <v>51</v>
      </c>
      <c r="L16">
        <v>654</v>
      </c>
      <c r="M16">
        <v>1213</v>
      </c>
      <c r="N16">
        <v>1238</v>
      </c>
      <c r="O16">
        <v>2196</v>
      </c>
      <c r="P16">
        <v>2201</v>
      </c>
      <c r="Q16">
        <v>2258</v>
      </c>
    </row>
    <row r="17" spans="1:17" ht="15">
      <c r="A17" t="s">
        <v>28</v>
      </c>
      <c r="B17">
        <v>109</v>
      </c>
      <c r="C17">
        <v>102</v>
      </c>
      <c r="D17">
        <v>95</v>
      </c>
      <c r="E17">
        <v>107</v>
      </c>
      <c r="F17">
        <v>113</v>
      </c>
      <c r="G17">
        <v>143</v>
      </c>
      <c r="H17">
        <v>73</v>
      </c>
      <c r="I17">
        <v>76</v>
      </c>
      <c r="J17">
        <v>83</v>
      </c>
      <c r="K17" s="6" t="s">
        <v>51</v>
      </c>
      <c r="L17">
        <v>144</v>
      </c>
      <c r="M17">
        <v>177</v>
      </c>
      <c r="N17">
        <v>185</v>
      </c>
      <c r="O17">
        <v>240</v>
      </c>
      <c r="P17">
        <v>223</v>
      </c>
      <c r="Q17">
        <v>202</v>
      </c>
    </row>
    <row r="18" spans="1:17" ht="15">
      <c r="A18" t="s">
        <v>49</v>
      </c>
      <c r="B18">
        <f aca="true" t="shared" si="4" ref="B18:J18">B19-B16-B17</f>
        <v>322</v>
      </c>
      <c r="C18">
        <f t="shared" si="4"/>
        <v>281</v>
      </c>
      <c r="D18">
        <f t="shared" si="4"/>
        <v>281</v>
      </c>
      <c r="E18">
        <f t="shared" si="4"/>
        <v>352</v>
      </c>
      <c r="F18">
        <f t="shared" si="4"/>
        <v>283</v>
      </c>
      <c r="G18">
        <f t="shared" si="4"/>
        <v>241</v>
      </c>
      <c r="H18">
        <f t="shared" si="4"/>
        <v>147</v>
      </c>
      <c r="I18">
        <f t="shared" si="4"/>
        <v>191</v>
      </c>
      <c r="J18">
        <f t="shared" si="4"/>
        <v>160</v>
      </c>
      <c r="K18" s="6" t="s">
        <v>51</v>
      </c>
      <c r="L18">
        <f aca="true" t="shared" si="5" ref="L18:Q18">L19-L16-L17</f>
        <v>91</v>
      </c>
      <c r="M18">
        <f t="shared" si="5"/>
        <v>79</v>
      </c>
      <c r="N18">
        <f t="shared" si="5"/>
        <v>88</v>
      </c>
      <c r="O18">
        <f t="shared" si="5"/>
        <v>100</v>
      </c>
      <c r="P18">
        <f t="shared" si="5"/>
        <v>168</v>
      </c>
      <c r="Q18">
        <f t="shared" si="5"/>
        <v>161</v>
      </c>
    </row>
    <row r="19" spans="1:17" s="1" customFormat="1" ht="15">
      <c r="A19" s="1" t="s">
        <v>62</v>
      </c>
      <c r="B19" s="1">
        <v>948</v>
      </c>
      <c r="C19" s="1">
        <v>917</v>
      </c>
      <c r="D19" s="1">
        <v>1057</v>
      </c>
      <c r="E19" s="1">
        <v>1355</v>
      </c>
      <c r="F19" s="1">
        <v>1309</v>
      </c>
      <c r="G19" s="1">
        <v>1309</v>
      </c>
      <c r="H19" s="1">
        <v>750</v>
      </c>
      <c r="I19" s="1">
        <v>820</v>
      </c>
      <c r="J19" s="1">
        <v>866</v>
      </c>
      <c r="K19" s="1">
        <v>833</v>
      </c>
      <c r="L19" s="1">
        <v>889</v>
      </c>
      <c r="M19" s="1">
        <v>1469</v>
      </c>
      <c r="N19" s="1">
        <v>1511</v>
      </c>
      <c r="O19" s="1">
        <v>2536</v>
      </c>
      <c r="P19" s="1">
        <v>2592</v>
      </c>
      <c r="Q19" s="1">
        <v>2621</v>
      </c>
    </row>
    <row r="20" spans="1:17" s="1" customFormat="1" ht="15">
      <c r="A20" s="1" t="s">
        <v>29</v>
      </c>
      <c r="B20" s="1">
        <v>701</v>
      </c>
      <c r="C20" s="1">
        <v>714</v>
      </c>
      <c r="D20" s="1">
        <v>793</v>
      </c>
      <c r="E20" s="1">
        <v>841</v>
      </c>
      <c r="F20" s="1">
        <v>907</v>
      </c>
      <c r="G20" s="1">
        <v>963</v>
      </c>
      <c r="H20" s="1">
        <v>889</v>
      </c>
      <c r="I20" s="1">
        <v>872</v>
      </c>
      <c r="J20" s="1">
        <v>1087</v>
      </c>
      <c r="K20" s="1">
        <f>1875-K19</f>
        <v>1042</v>
      </c>
      <c r="L20" s="1">
        <v>1287</v>
      </c>
      <c r="M20" s="1">
        <v>1564</v>
      </c>
      <c r="N20" s="1">
        <v>1752</v>
      </c>
      <c r="O20" s="1">
        <v>1805</v>
      </c>
      <c r="P20" s="1">
        <v>1882</v>
      </c>
      <c r="Q20" s="1">
        <v>1604</v>
      </c>
    </row>
    <row r="21" spans="1:17" s="1" customFormat="1" ht="15">
      <c r="A21" s="1" t="s">
        <v>61</v>
      </c>
      <c r="B21" s="1">
        <v>134</v>
      </c>
      <c r="C21">
        <v>122</v>
      </c>
      <c r="D21">
        <v>174</v>
      </c>
      <c r="E21">
        <v>144</v>
      </c>
      <c r="F21">
        <v>251</v>
      </c>
      <c r="G21">
        <v>141</v>
      </c>
      <c r="H21">
        <v>236</v>
      </c>
      <c r="I21">
        <v>217</v>
      </c>
      <c r="J21">
        <v>409</v>
      </c>
      <c r="K21">
        <v>214</v>
      </c>
      <c r="L21">
        <v>296</v>
      </c>
      <c r="M21">
        <v>269</v>
      </c>
      <c r="N21">
        <v>387</v>
      </c>
      <c r="O21">
        <v>250</v>
      </c>
      <c r="P21">
        <v>292</v>
      </c>
      <c r="Q21">
        <v>150</v>
      </c>
    </row>
    <row r="22" s="1" customFormat="1" ht="15"/>
    <row r="23" spans="1:17" s="1" customFormat="1" ht="15">
      <c r="A23" s="1" t="s">
        <v>50</v>
      </c>
      <c r="B23" s="1">
        <v>0</v>
      </c>
      <c r="C23" s="1">
        <v>161</v>
      </c>
      <c r="D23" s="1">
        <v>90</v>
      </c>
      <c r="E23" s="1">
        <v>22</v>
      </c>
      <c r="F23" s="1">
        <v>181</v>
      </c>
      <c r="G23" s="4" t="s">
        <v>51</v>
      </c>
      <c r="H23" s="4" t="s">
        <v>51</v>
      </c>
      <c r="I23" s="4" t="s">
        <v>51</v>
      </c>
      <c r="J23" s="4" t="s">
        <v>51</v>
      </c>
      <c r="K23" s="4" t="s">
        <v>51</v>
      </c>
      <c r="L23" s="4" t="s">
        <v>51</v>
      </c>
      <c r="M23" s="4" t="s">
        <v>51</v>
      </c>
      <c r="N23" s="4" t="s">
        <v>51</v>
      </c>
      <c r="O23" s="4" t="s">
        <v>51</v>
      </c>
      <c r="P23" s="4" t="s">
        <v>51</v>
      </c>
      <c r="Q23" s="4" t="s">
        <v>51</v>
      </c>
    </row>
    <row r="25" spans="1:17" s="1" customFormat="1" ht="15">
      <c r="A25" s="1" t="s">
        <v>30</v>
      </c>
      <c r="B25" s="1">
        <v>1649</v>
      </c>
      <c r="C25" s="1">
        <f aca="true" t="shared" si="6" ref="C25:K25">SUM(C19,C20,C23)</f>
        <v>1792</v>
      </c>
      <c r="D25" s="1">
        <f t="shared" si="6"/>
        <v>1940</v>
      </c>
      <c r="E25" s="1">
        <f t="shared" si="6"/>
        <v>2218</v>
      </c>
      <c r="F25" s="1">
        <f t="shared" si="6"/>
        <v>2397</v>
      </c>
      <c r="G25" s="1">
        <f t="shared" si="6"/>
        <v>2272</v>
      </c>
      <c r="H25" s="1">
        <f t="shared" si="6"/>
        <v>1639</v>
      </c>
      <c r="I25" s="1">
        <f t="shared" si="6"/>
        <v>1692</v>
      </c>
      <c r="J25" s="1">
        <f t="shared" si="6"/>
        <v>1953</v>
      </c>
      <c r="K25" s="1">
        <f t="shared" si="6"/>
        <v>1875</v>
      </c>
      <c r="L25" s="1">
        <f aca="true" t="shared" si="7" ref="L25:Q25">SUM(L19,L20,L23)</f>
        <v>2176</v>
      </c>
      <c r="M25" s="1">
        <f t="shared" si="7"/>
        <v>3033</v>
      </c>
      <c r="N25" s="1">
        <f t="shared" si="7"/>
        <v>3263</v>
      </c>
      <c r="O25" s="1">
        <f t="shared" si="7"/>
        <v>4341</v>
      </c>
      <c r="P25" s="1">
        <f t="shared" si="7"/>
        <v>4474</v>
      </c>
      <c r="Q25" s="1">
        <f t="shared" si="7"/>
        <v>4225</v>
      </c>
    </row>
    <row r="26" s="1" customFormat="1" ht="15"/>
    <row r="27" spans="1:17" s="1" customFormat="1" ht="15">
      <c r="A27" s="1" t="s">
        <v>34</v>
      </c>
      <c r="B27" s="1">
        <v>409</v>
      </c>
      <c r="C27" s="1">
        <v>321</v>
      </c>
      <c r="D27" s="1">
        <v>408</v>
      </c>
      <c r="E27" s="1">
        <v>524</v>
      </c>
      <c r="F27" s="1">
        <v>597</v>
      </c>
      <c r="G27" s="1">
        <v>602</v>
      </c>
      <c r="H27" s="1">
        <v>357</v>
      </c>
      <c r="I27" s="1">
        <v>386</v>
      </c>
      <c r="J27" s="1">
        <v>299</v>
      </c>
      <c r="K27" s="1">
        <v>320</v>
      </c>
      <c r="L27" s="1">
        <v>122</v>
      </c>
      <c r="M27" s="1">
        <v>522</v>
      </c>
      <c r="N27" s="1">
        <v>532</v>
      </c>
      <c r="O27" s="1">
        <v>1209</v>
      </c>
      <c r="P27" s="1">
        <v>1257</v>
      </c>
      <c r="Q27" s="1">
        <v>1317</v>
      </c>
    </row>
    <row r="28" spans="1:17" ht="15">
      <c r="A28" s="1" t="s">
        <v>35</v>
      </c>
      <c r="B28" s="1">
        <v>0</v>
      </c>
      <c r="C28" s="1">
        <v>0</v>
      </c>
      <c r="D28" s="1">
        <v>0</v>
      </c>
      <c r="E28" s="1">
        <v>0</v>
      </c>
      <c r="F28" s="1">
        <v>0</v>
      </c>
      <c r="G28" s="1">
        <v>0</v>
      </c>
      <c r="H28" s="1">
        <v>0</v>
      </c>
      <c r="I28" s="1">
        <v>2</v>
      </c>
      <c r="J28" s="1">
        <v>2</v>
      </c>
      <c r="K28" s="1">
        <v>1</v>
      </c>
      <c r="L28" s="1">
        <v>2</v>
      </c>
      <c r="M28" s="1">
        <v>2</v>
      </c>
      <c r="N28">
        <v>3</v>
      </c>
      <c r="O28" s="1">
        <v>3</v>
      </c>
      <c r="P28" s="1">
        <v>4</v>
      </c>
      <c r="Q28" s="1">
        <v>3</v>
      </c>
    </row>
    <row r="29" spans="1:17" s="1" customFormat="1" ht="15">
      <c r="A29"/>
      <c r="O29"/>
      <c r="P29"/>
      <c r="Q29"/>
    </row>
    <row r="30" spans="1:17" s="1" customFormat="1" ht="15">
      <c r="A30" s="1" t="s">
        <v>36</v>
      </c>
      <c r="B30" s="4" t="s">
        <v>51</v>
      </c>
      <c r="C30" s="4" t="s">
        <v>51</v>
      </c>
      <c r="D30" s="4" t="s">
        <v>51</v>
      </c>
      <c r="E30" s="4" t="s">
        <v>51</v>
      </c>
      <c r="F30" s="4" t="s">
        <v>51</v>
      </c>
      <c r="G30" s="4" t="s">
        <v>51</v>
      </c>
      <c r="H30" s="4" t="s">
        <v>51</v>
      </c>
      <c r="I30" s="4" t="s">
        <v>51</v>
      </c>
      <c r="J30" s="4" t="s">
        <v>51</v>
      </c>
      <c r="K30" s="4" t="s">
        <v>51</v>
      </c>
      <c r="L30" s="1">
        <v>520</v>
      </c>
      <c r="M30" s="1">
        <v>522</v>
      </c>
      <c r="N30" s="1">
        <v>554</v>
      </c>
      <c r="O30" s="1">
        <v>849</v>
      </c>
      <c r="P30" s="1">
        <v>849</v>
      </c>
      <c r="Q30" s="1">
        <v>849</v>
      </c>
    </row>
    <row r="31" s="1" customFormat="1" ht="15"/>
    <row r="32" spans="1:17" ht="15">
      <c r="A32" t="s">
        <v>31</v>
      </c>
      <c r="B32">
        <v>67</v>
      </c>
      <c r="C32">
        <v>223</v>
      </c>
      <c r="D32">
        <v>137</v>
      </c>
      <c r="E32">
        <v>85</v>
      </c>
      <c r="F32">
        <v>100</v>
      </c>
      <c r="G32">
        <v>10</v>
      </c>
      <c r="H32">
        <v>6</v>
      </c>
      <c r="I32">
        <v>2</v>
      </c>
      <c r="J32">
        <v>105</v>
      </c>
      <c r="K32">
        <v>38</v>
      </c>
      <c r="L32">
        <v>15</v>
      </c>
      <c r="M32">
        <v>12</v>
      </c>
      <c r="N32">
        <v>24</v>
      </c>
      <c r="O32">
        <v>20</v>
      </c>
      <c r="P32">
        <v>15</v>
      </c>
      <c r="Q32">
        <v>15</v>
      </c>
    </row>
    <row r="33" spans="1:17" ht="15">
      <c r="A33" s="2" t="s">
        <v>32</v>
      </c>
      <c r="B33">
        <v>347</v>
      </c>
      <c r="C33">
        <v>340</v>
      </c>
      <c r="D33">
        <v>323</v>
      </c>
      <c r="E33">
        <v>551</v>
      </c>
      <c r="F33">
        <v>337</v>
      </c>
      <c r="G33">
        <v>453</v>
      </c>
      <c r="H33">
        <v>197</v>
      </c>
      <c r="I33">
        <v>199</v>
      </c>
      <c r="J33">
        <v>330</v>
      </c>
      <c r="K33">
        <v>301</v>
      </c>
      <c r="L33">
        <v>80</v>
      </c>
      <c r="M33">
        <v>367</v>
      </c>
      <c r="N33">
        <v>427</v>
      </c>
      <c r="O33">
        <v>542</v>
      </c>
      <c r="P33">
        <v>435</v>
      </c>
      <c r="Q33">
        <v>395</v>
      </c>
    </row>
    <row r="34" spans="1:17" ht="15">
      <c r="A34" t="s">
        <v>33</v>
      </c>
      <c r="B34" s="4" t="s">
        <v>51</v>
      </c>
      <c r="C34" s="4" t="s">
        <v>51</v>
      </c>
      <c r="D34" s="4" t="s">
        <v>51</v>
      </c>
      <c r="E34" s="4" t="s">
        <v>51</v>
      </c>
      <c r="F34" s="4" t="s">
        <v>51</v>
      </c>
      <c r="G34" s="4" t="s">
        <v>51</v>
      </c>
      <c r="H34" s="4" t="s">
        <v>51</v>
      </c>
      <c r="I34" s="4" t="s">
        <v>51</v>
      </c>
      <c r="J34" s="4" t="s">
        <v>51</v>
      </c>
      <c r="K34">
        <v>286</v>
      </c>
      <c r="L34">
        <v>337</v>
      </c>
      <c r="M34">
        <v>391</v>
      </c>
      <c r="N34">
        <v>411</v>
      </c>
      <c r="O34">
        <v>413</v>
      </c>
      <c r="P34">
        <v>458</v>
      </c>
      <c r="Q34">
        <v>452</v>
      </c>
    </row>
    <row r="35" spans="1:17" ht="15">
      <c r="A35" t="s">
        <v>54</v>
      </c>
      <c r="B35">
        <v>95</v>
      </c>
      <c r="C35">
        <v>110</v>
      </c>
      <c r="D35">
        <v>119</v>
      </c>
      <c r="E35">
        <v>155</v>
      </c>
      <c r="F35">
        <v>160</v>
      </c>
      <c r="G35">
        <v>185</v>
      </c>
      <c r="H35">
        <v>202</v>
      </c>
      <c r="I35">
        <v>237</v>
      </c>
      <c r="J35">
        <v>126</v>
      </c>
      <c r="K35" s="4" t="s">
        <v>51</v>
      </c>
      <c r="L35" s="4" t="s">
        <v>51</v>
      </c>
      <c r="M35" s="4" t="s">
        <v>51</v>
      </c>
      <c r="N35" s="4" t="s">
        <v>51</v>
      </c>
      <c r="O35" s="4" t="s">
        <v>51</v>
      </c>
      <c r="P35" s="4" t="s">
        <v>51</v>
      </c>
      <c r="Q35" s="4" t="s">
        <v>51</v>
      </c>
    </row>
    <row r="36" spans="1:17" ht="15">
      <c r="A36" t="s">
        <v>55</v>
      </c>
      <c r="B36">
        <v>27</v>
      </c>
      <c r="C36">
        <v>16</v>
      </c>
      <c r="D36">
        <v>26</v>
      </c>
      <c r="E36">
        <v>51</v>
      </c>
      <c r="F36">
        <v>39</v>
      </c>
      <c r="G36">
        <v>40</v>
      </c>
      <c r="H36">
        <v>22</v>
      </c>
      <c r="I36">
        <v>23</v>
      </c>
      <c r="J36">
        <v>81</v>
      </c>
      <c r="K36" s="4" t="s">
        <v>51</v>
      </c>
      <c r="L36" s="4" t="s">
        <v>51</v>
      </c>
      <c r="M36" s="4" t="s">
        <v>51</v>
      </c>
      <c r="N36" s="4" t="s">
        <v>51</v>
      </c>
      <c r="O36" s="4" t="s">
        <v>51</v>
      </c>
      <c r="P36" s="4" t="s">
        <v>51</v>
      </c>
      <c r="Q36" s="4" t="s">
        <v>51</v>
      </c>
    </row>
    <row r="37" spans="1:17" ht="15">
      <c r="A37" t="s">
        <v>56</v>
      </c>
      <c r="B37">
        <v>10</v>
      </c>
      <c r="C37">
        <v>7</v>
      </c>
      <c r="D37">
        <v>6</v>
      </c>
      <c r="E37">
        <v>20</v>
      </c>
      <c r="F37">
        <v>12</v>
      </c>
      <c r="G37">
        <v>72</v>
      </c>
      <c r="H37">
        <v>12</v>
      </c>
      <c r="I37">
        <v>51</v>
      </c>
      <c r="J37">
        <v>50</v>
      </c>
      <c r="K37" s="4" t="s">
        <v>51</v>
      </c>
      <c r="L37" s="4" t="s">
        <v>51</v>
      </c>
      <c r="M37" s="4" t="s">
        <v>51</v>
      </c>
      <c r="N37" s="4" t="s">
        <v>51</v>
      </c>
      <c r="O37" s="4" t="s">
        <v>51</v>
      </c>
      <c r="P37" s="4" t="s">
        <v>51</v>
      </c>
      <c r="Q37" s="4" t="s">
        <v>51</v>
      </c>
    </row>
    <row r="38" spans="1:17" ht="15">
      <c r="A38" t="s">
        <v>57</v>
      </c>
      <c r="B38">
        <v>13</v>
      </c>
      <c r="C38">
        <v>29</v>
      </c>
      <c r="D38">
        <v>24</v>
      </c>
      <c r="E38">
        <v>6</v>
      </c>
      <c r="F38">
        <v>15</v>
      </c>
      <c r="G38">
        <v>0</v>
      </c>
      <c r="H38">
        <v>4</v>
      </c>
      <c r="I38">
        <v>0</v>
      </c>
      <c r="J38">
        <v>0</v>
      </c>
      <c r="K38" s="4" t="s">
        <v>51</v>
      </c>
      <c r="L38" s="4" t="s">
        <v>51</v>
      </c>
      <c r="M38" s="4" t="s">
        <v>51</v>
      </c>
      <c r="N38" s="4" t="s">
        <v>51</v>
      </c>
      <c r="O38" s="4" t="s">
        <v>51</v>
      </c>
      <c r="P38" s="4" t="s">
        <v>51</v>
      </c>
      <c r="Q38" s="4" t="s">
        <v>51</v>
      </c>
    </row>
    <row r="39" spans="1:17" s="1" customFormat="1" ht="15">
      <c r="A39" s="1" t="s">
        <v>52</v>
      </c>
      <c r="B39" s="1">
        <f aca="true" t="shared" si="8" ref="B39:J39">SUM(B32:B38)</f>
        <v>559</v>
      </c>
      <c r="C39" s="1">
        <f t="shared" si="8"/>
        <v>725</v>
      </c>
      <c r="D39" s="1">
        <f t="shared" si="8"/>
        <v>635</v>
      </c>
      <c r="E39" s="1">
        <f t="shared" si="8"/>
        <v>868</v>
      </c>
      <c r="F39" s="1">
        <f t="shared" si="8"/>
        <v>663</v>
      </c>
      <c r="G39" s="1">
        <f t="shared" si="8"/>
        <v>760</v>
      </c>
      <c r="H39" s="1">
        <f t="shared" si="8"/>
        <v>443</v>
      </c>
      <c r="I39" s="1">
        <f t="shared" si="8"/>
        <v>512</v>
      </c>
      <c r="J39" s="1">
        <f t="shared" si="8"/>
        <v>692</v>
      </c>
      <c r="K39" s="1">
        <f aca="true" t="shared" si="9" ref="K39:Q39">SUM(K32:K38)</f>
        <v>625</v>
      </c>
      <c r="L39" s="1">
        <f t="shared" si="9"/>
        <v>432</v>
      </c>
      <c r="M39" s="1">
        <f t="shared" si="9"/>
        <v>770</v>
      </c>
      <c r="N39" s="1">
        <f t="shared" si="9"/>
        <v>862</v>
      </c>
      <c r="O39" s="1">
        <f t="shared" si="9"/>
        <v>975</v>
      </c>
      <c r="P39" s="1">
        <f t="shared" si="9"/>
        <v>908</v>
      </c>
      <c r="Q39" s="1">
        <f t="shared" si="9"/>
        <v>862</v>
      </c>
    </row>
    <row r="41" spans="1:17" s="1" customFormat="1" ht="15">
      <c r="A41" s="1" t="s">
        <v>53</v>
      </c>
      <c r="B41" s="1">
        <f>748-67</f>
        <v>681</v>
      </c>
      <c r="C41" s="1">
        <f>907-223</f>
        <v>684</v>
      </c>
      <c r="D41" s="1">
        <f>999-137</f>
        <v>862</v>
      </c>
      <c r="E41" s="1">
        <f>899-85</f>
        <v>814</v>
      </c>
      <c r="F41" s="1">
        <f>988-100</f>
        <v>888</v>
      </c>
      <c r="G41" s="1">
        <f>920-10</f>
        <v>910</v>
      </c>
      <c r="H41" s="1">
        <f>845-6</f>
        <v>839</v>
      </c>
      <c r="I41" s="1">
        <f>794-2</f>
        <v>792</v>
      </c>
      <c r="J41" s="1">
        <f>1065-J32</f>
        <v>960</v>
      </c>
      <c r="K41" s="1">
        <v>929</v>
      </c>
      <c r="L41" s="1">
        <v>1100</v>
      </c>
      <c r="M41" s="1">
        <f>1217</f>
        <v>1217</v>
      </c>
      <c r="N41" s="1">
        <v>1312</v>
      </c>
      <c r="O41" s="1">
        <v>1305</v>
      </c>
      <c r="P41" s="1">
        <v>1456</v>
      </c>
      <c r="Q41" s="1">
        <v>1194</v>
      </c>
    </row>
    <row r="42" s="1" customFormat="1" ht="15"/>
    <row r="43" spans="1:17" s="1" customFormat="1" ht="15">
      <c r="A43" s="1" t="s">
        <v>59</v>
      </c>
      <c r="B43" s="1">
        <v>0</v>
      </c>
      <c r="C43" s="1">
        <v>62</v>
      </c>
      <c r="D43" s="1">
        <v>35</v>
      </c>
      <c r="E43" s="1">
        <v>12</v>
      </c>
      <c r="F43" s="1">
        <v>249</v>
      </c>
      <c r="G43" s="4" t="s">
        <v>51</v>
      </c>
      <c r="H43" s="4" t="s">
        <v>51</v>
      </c>
      <c r="I43" s="4" t="s">
        <v>51</v>
      </c>
      <c r="J43" s="4" t="s">
        <v>51</v>
      </c>
      <c r="K43" s="4" t="s">
        <v>51</v>
      </c>
      <c r="L43" s="4" t="s">
        <v>51</v>
      </c>
      <c r="M43" s="4" t="s">
        <v>51</v>
      </c>
      <c r="N43" s="4" t="s">
        <v>51</v>
      </c>
      <c r="O43" s="4" t="s">
        <v>51</v>
      </c>
      <c r="P43" s="4" t="s">
        <v>51</v>
      </c>
      <c r="Q43" s="4" t="s">
        <v>51</v>
      </c>
    </row>
    <row r="45" spans="1:17" ht="15">
      <c r="A45" s="1" t="s">
        <v>58</v>
      </c>
      <c r="B45" s="1">
        <f aca="true" t="shared" si="10" ref="B45:J45">SUM(B41,B39,B30,B27,B28,B43)</f>
        <v>1649</v>
      </c>
      <c r="C45" s="1">
        <f t="shared" si="10"/>
        <v>1792</v>
      </c>
      <c r="D45" s="1">
        <f t="shared" si="10"/>
        <v>1940</v>
      </c>
      <c r="E45" s="1">
        <f t="shared" si="10"/>
        <v>2218</v>
      </c>
      <c r="F45" s="1">
        <f t="shared" si="10"/>
        <v>2397</v>
      </c>
      <c r="G45" s="1">
        <f t="shared" si="10"/>
        <v>2272</v>
      </c>
      <c r="H45" s="1">
        <f t="shared" si="10"/>
        <v>1639</v>
      </c>
      <c r="I45" s="1">
        <f t="shared" si="10"/>
        <v>1692</v>
      </c>
      <c r="J45" s="1">
        <f t="shared" si="10"/>
        <v>1953</v>
      </c>
      <c r="K45" s="1">
        <f aca="true" t="shared" si="11" ref="K45:Q45">SUM(K41,K39,K30,K27,K28,K43)</f>
        <v>1875</v>
      </c>
      <c r="L45" s="1">
        <f t="shared" si="11"/>
        <v>2176</v>
      </c>
      <c r="M45" s="1">
        <f t="shared" si="11"/>
        <v>3033</v>
      </c>
      <c r="N45" s="1">
        <f t="shared" si="11"/>
        <v>3263</v>
      </c>
      <c r="O45" s="1">
        <f t="shared" si="11"/>
        <v>4341</v>
      </c>
      <c r="P45" s="1">
        <f t="shared" si="11"/>
        <v>4474</v>
      </c>
      <c r="Q45" s="1">
        <f t="shared" si="11"/>
        <v>4225</v>
      </c>
    </row>
    <row r="47" spans="1:17" s="1" customFormat="1" ht="15">
      <c r="A47" s="1" t="s">
        <v>37</v>
      </c>
      <c r="B47" s="1">
        <f>-136-C47</f>
        <v>12</v>
      </c>
      <c r="C47" s="1">
        <v>-148</v>
      </c>
      <c r="D47" s="1">
        <f>2-E47</f>
        <v>144</v>
      </c>
      <c r="E47" s="1">
        <v>-142</v>
      </c>
      <c r="F47" s="1">
        <f>-65-G47</f>
        <v>95</v>
      </c>
      <c r="G47" s="1">
        <v>-160</v>
      </c>
      <c r="H47" s="1">
        <f>-107-I47</f>
        <v>34</v>
      </c>
      <c r="I47" s="1">
        <v>-141</v>
      </c>
      <c r="J47" s="1">
        <f>-7-K47</f>
        <v>96</v>
      </c>
      <c r="K47" s="1">
        <v>-103</v>
      </c>
      <c r="L47" s="1">
        <f>180-M47</f>
        <v>175</v>
      </c>
      <c r="M47" s="1">
        <v>5</v>
      </c>
      <c r="N47" s="1">
        <f>202-O47</f>
        <v>229</v>
      </c>
      <c r="O47" s="1">
        <v>-27</v>
      </c>
      <c r="P47" s="1">
        <v>-16</v>
      </c>
      <c r="Q47" s="1">
        <v>-13</v>
      </c>
    </row>
    <row r="48" spans="1:17" s="1" customFormat="1" ht="15">
      <c r="A48" s="1" t="s">
        <v>38</v>
      </c>
      <c r="B48" s="1">
        <f>-13-C48</f>
        <v>13</v>
      </c>
      <c r="C48" s="1">
        <v>-26</v>
      </c>
      <c r="D48" s="1">
        <f>-16-E48</f>
        <v>65</v>
      </c>
      <c r="E48" s="1">
        <v>-81</v>
      </c>
      <c r="F48" s="1">
        <f>-372-G48</f>
        <v>-28</v>
      </c>
      <c r="G48" s="1">
        <v>-344</v>
      </c>
      <c r="H48" s="1">
        <f>-20-I48</f>
        <v>-19</v>
      </c>
      <c r="I48" s="1">
        <v>-1</v>
      </c>
      <c r="J48" s="1">
        <f>291-K48</f>
        <v>32</v>
      </c>
      <c r="K48" s="1">
        <f>273-14</f>
        <v>259</v>
      </c>
      <c r="L48" s="1">
        <f>133-M48</f>
        <v>150</v>
      </c>
      <c r="M48" s="1">
        <v>-17</v>
      </c>
      <c r="N48" s="1">
        <f>-61-O48</f>
        <v>22</v>
      </c>
      <c r="O48" s="1">
        <v>-83</v>
      </c>
      <c r="P48" s="1">
        <v>-29</v>
      </c>
      <c r="Q48" s="1">
        <v>-127</v>
      </c>
    </row>
    <row r="49" spans="1:17" s="1" customFormat="1" ht="15">
      <c r="A49" s="1" t="s">
        <v>39</v>
      </c>
      <c r="B49" s="1">
        <f>95-C49</f>
        <v>-20</v>
      </c>
      <c r="C49" s="1">
        <v>115</v>
      </c>
      <c r="D49" s="1">
        <f>-76-E49</f>
        <v>-203</v>
      </c>
      <c r="E49" s="1">
        <v>127</v>
      </c>
      <c r="F49" s="1">
        <f>451-G49</f>
        <v>48</v>
      </c>
      <c r="G49" s="1">
        <v>403</v>
      </c>
      <c r="H49" s="1">
        <f>-44-I49</f>
        <v>9</v>
      </c>
      <c r="I49" s="1">
        <v>-53</v>
      </c>
      <c r="J49" s="1">
        <f>-139-K49</f>
        <v>92</v>
      </c>
      <c r="K49" s="1">
        <v>-231</v>
      </c>
      <c r="L49" s="1">
        <f>-404-M49</f>
        <v>-307</v>
      </c>
      <c r="M49" s="1">
        <v>-97</v>
      </c>
      <c r="N49" s="1">
        <f>-46-O49</f>
        <v>-114</v>
      </c>
      <c r="O49" s="1">
        <v>68</v>
      </c>
      <c r="P49" s="1">
        <v>181</v>
      </c>
      <c r="Q49" s="1">
        <v>130</v>
      </c>
    </row>
    <row r="50" s="1" customFormat="1" ht="15"/>
    <row r="51" spans="1:16" s="1" customFormat="1" ht="15">
      <c r="A51" s="1" t="s">
        <v>69</v>
      </c>
      <c r="D51" s="1">
        <v>753</v>
      </c>
      <c r="F51" s="1">
        <v>1392</v>
      </c>
      <c r="H51" s="1">
        <v>846</v>
      </c>
      <c r="J51" s="1">
        <v>679</v>
      </c>
      <c r="L51" s="1">
        <v>237</v>
      </c>
      <c r="N51" s="1">
        <v>1489</v>
      </c>
      <c r="P51" s="1">
        <v>2152</v>
      </c>
    </row>
    <row r="53" spans="1:17" ht="15">
      <c r="A53" s="1" t="s">
        <v>41</v>
      </c>
      <c r="B53" s="5">
        <v>0.255</v>
      </c>
      <c r="C53" s="5">
        <v>0.255</v>
      </c>
      <c r="D53" s="5">
        <v>0.296</v>
      </c>
      <c r="E53" s="5">
        <v>0.296</v>
      </c>
      <c r="F53" s="5">
        <v>0.315</v>
      </c>
      <c r="G53" s="5">
        <v>0.315</v>
      </c>
      <c r="H53" s="5">
        <v>0.345</v>
      </c>
      <c r="I53" s="5">
        <v>0.345</v>
      </c>
      <c r="J53" s="5">
        <v>0.345</v>
      </c>
      <c r="K53" s="5">
        <v>0.345</v>
      </c>
      <c r="L53" s="5">
        <v>0.345</v>
      </c>
      <c r="M53" s="5">
        <v>0.345</v>
      </c>
      <c r="N53" s="5">
        <v>0.345</v>
      </c>
      <c r="O53" s="5">
        <v>0.345</v>
      </c>
      <c r="P53" s="5">
        <v>0.345</v>
      </c>
      <c r="Q53" s="5">
        <v>0.345</v>
      </c>
    </row>
    <row r="55" spans="1:17" s="2" customFormat="1" ht="15">
      <c r="A55" s="2" t="s">
        <v>42</v>
      </c>
      <c r="B55" s="2">
        <f aca="true" t="shared" si="12" ref="B55:Q55">B14+(1-B53)*(-B10)</f>
        <v>-29.395</v>
      </c>
      <c r="C55" s="2">
        <f t="shared" si="12"/>
        <v>-91.61</v>
      </c>
      <c r="D55" s="2">
        <f t="shared" si="12"/>
        <v>-75.84</v>
      </c>
      <c r="E55" s="2">
        <f t="shared" si="12"/>
        <v>-24.808</v>
      </c>
      <c r="F55" s="2">
        <f t="shared" si="12"/>
        <v>25.645000000000003</v>
      </c>
      <c r="G55" s="2">
        <f t="shared" si="12"/>
        <v>21.51</v>
      </c>
      <c r="H55" s="2">
        <f t="shared" si="12"/>
        <v>49.31</v>
      </c>
      <c r="I55" s="2">
        <f t="shared" si="12"/>
        <v>21.755000000000003</v>
      </c>
      <c r="J55" s="2">
        <f t="shared" si="12"/>
        <v>32.065</v>
      </c>
      <c r="K55" s="2">
        <f t="shared" si="12"/>
        <v>251.925</v>
      </c>
      <c r="L55" s="2">
        <f t="shared" si="12"/>
        <v>-405.485</v>
      </c>
      <c r="M55" s="2">
        <f t="shared" si="12"/>
        <v>13.825000000000001</v>
      </c>
      <c r="N55" s="2">
        <f t="shared" si="12"/>
        <v>-943.865</v>
      </c>
      <c r="O55" s="2">
        <f t="shared" si="12"/>
        <v>-64.35</v>
      </c>
      <c r="P55" s="2">
        <f t="shared" si="12"/>
        <v>22.72</v>
      </c>
      <c r="Q55" s="2">
        <f t="shared" si="12"/>
        <v>67.445</v>
      </c>
    </row>
    <row r="56" spans="1:16" s="2" customFormat="1" ht="15">
      <c r="A56" s="2" t="s">
        <v>43</v>
      </c>
      <c r="B56" s="2">
        <f aca="true" t="shared" si="13" ref="B56:P56">SUM(B55:C55)</f>
        <v>-121.005</v>
      </c>
      <c r="C56" s="2">
        <f t="shared" si="13"/>
        <v>-167.45</v>
      </c>
      <c r="D56" s="2">
        <f t="shared" si="13"/>
        <v>-100.648</v>
      </c>
      <c r="E56" s="2">
        <f t="shared" si="13"/>
        <v>0.8370000000000033</v>
      </c>
      <c r="F56" s="2">
        <f t="shared" si="13"/>
        <v>47.155</v>
      </c>
      <c r="G56" s="2">
        <f t="shared" si="13"/>
        <v>70.82000000000001</v>
      </c>
      <c r="H56" s="2">
        <f t="shared" si="13"/>
        <v>71.065</v>
      </c>
      <c r="I56" s="2">
        <f t="shared" si="13"/>
        <v>53.82</v>
      </c>
      <c r="J56" s="2">
        <f t="shared" si="13"/>
        <v>283.99</v>
      </c>
      <c r="K56" s="2">
        <f t="shared" si="13"/>
        <v>-153.56</v>
      </c>
      <c r="L56" s="2">
        <f t="shared" si="13"/>
        <v>-391.66</v>
      </c>
      <c r="M56" s="2">
        <f t="shared" si="13"/>
        <v>-930.04</v>
      </c>
      <c r="N56" s="2">
        <f t="shared" si="13"/>
        <v>-1008.215</v>
      </c>
      <c r="O56" s="2">
        <f t="shared" si="13"/>
        <v>-41.629999999999995</v>
      </c>
      <c r="P56" s="2">
        <f t="shared" si="13"/>
        <v>90.16499999999999</v>
      </c>
    </row>
    <row r="57" spans="1:17" s="2" customFormat="1" ht="15">
      <c r="A57" s="2" t="s">
        <v>44</v>
      </c>
      <c r="B57" s="2">
        <f>B19+B20-B21-B41</f>
        <v>834</v>
      </c>
      <c r="C57" s="2">
        <f aca="true" t="shared" si="14" ref="C57:Q57">C19+C20-C21-C41</f>
        <v>825</v>
      </c>
      <c r="D57" s="2">
        <f t="shared" si="14"/>
        <v>814</v>
      </c>
      <c r="E57" s="2">
        <f t="shared" si="14"/>
        <v>1238</v>
      </c>
      <c r="F57" s="2">
        <f t="shared" si="14"/>
        <v>1077</v>
      </c>
      <c r="G57" s="2">
        <f t="shared" si="14"/>
        <v>1221</v>
      </c>
      <c r="H57" s="2">
        <f t="shared" si="14"/>
        <v>564</v>
      </c>
      <c r="I57" s="2">
        <f t="shared" si="14"/>
        <v>683</v>
      </c>
      <c r="J57" s="2">
        <f t="shared" si="14"/>
        <v>584</v>
      </c>
      <c r="K57" s="2">
        <f t="shared" si="14"/>
        <v>732</v>
      </c>
      <c r="L57" s="2">
        <f t="shared" si="14"/>
        <v>780</v>
      </c>
      <c r="M57" s="2">
        <f t="shared" si="14"/>
        <v>1547</v>
      </c>
      <c r="N57" s="2">
        <f t="shared" si="14"/>
        <v>1564</v>
      </c>
      <c r="O57" s="2">
        <f t="shared" si="14"/>
        <v>2786</v>
      </c>
      <c r="P57" s="2">
        <f t="shared" si="14"/>
        <v>2726</v>
      </c>
      <c r="Q57" s="2">
        <f t="shared" si="14"/>
        <v>2881</v>
      </c>
    </row>
    <row r="58" spans="1:16" s="1" customFormat="1" ht="15">
      <c r="A58" s="1" t="s">
        <v>40</v>
      </c>
      <c r="B58" s="3">
        <f aca="true" t="shared" si="15" ref="B58:P58">B56/B57</f>
        <v>-0.14508992805755394</v>
      </c>
      <c r="C58" s="3">
        <f t="shared" si="15"/>
        <v>-0.20296969696969697</v>
      </c>
      <c r="D58" s="3">
        <f t="shared" si="15"/>
        <v>-0.12364619164619164</v>
      </c>
      <c r="E58" s="3">
        <f t="shared" si="15"/>
        <v>0.0006760904684975794</v>
      </c>
      <c r="F58" s="3">
        <f t="shared" si="15"/>
        <v>0.04378365831012071</v>
      </c>
      <c r="G58" s="3">
        <f t="shared" si="15"/>
        <v>0.05800163800163801</v>
      </c>
      <c r="H58" s="3">
        <f t="shared" si="15"/>
        <v>0.12600177304964538</v>
      </c>
      <c r="I58" s="3">
        <f t="shared" si="15"/>
        <v>0.07879941434846266</v>
      </c>
      <c r="J58" s="3">
        <f t="shared" si="15"/>
        <v>0.48628424657534247</v>
      </c>
      <c r="K58" s="3">
        <f t="shared" si="15"/>
        <v>-0.20978142076502732</v>
      </c>
      <c r="L58" s="3">
        <f t="shared" si="15"/>
        <v>-0.5021282051282051</v>
      </c>
      <c r="M58" s="3">
        <f t="shared" si="15"/>
        <v>-0.6011893988364576</v>
      </c>
      <c r="N58" s="3">
        <f t="shared" si="15"/>
        <v>-0.6446387468030691</v>
      </c>
      <c r="O58" s="3">
        <f t="shared" si="15"/>
        <v>-0.014942569992821248</v>
      </c>
      <c r="P58" s="3">
        <f t="shared" si="15"/>
        <v>0.03307593543653705</v>
      </c>
    </row>
    <row r="60" spans="1:17" ht="15">
      <c r="A60" t="s">
        <v>46</v>
      </c>
      <c r="B60">
        <f>SUM(B30:B38)-B21</f>
        <v>425</v>
      </c>
      <c r="C60">
        <f aca="true" t="shared" si="16" ref="C60:Q60">SUM(C30:C38)-C21</f>
        <v>603</v>
      </c>
      <c r="D60">
        <f t="shared" si="16"/>
        <v>461</v>
      </c>
      <c r="E60">
        <f t="shared" si="16"/>
        <v>724</v>
      </c>
      <c r="F60">
        <f t="shared" si="16"/>
        <v>412</v>
      </c>
      <c r="G60">
        <f t="shared" si="16"/>
        <v>619</v>
      </c>
      <c r="H60">
        <f t="shared" si="16"/>
        <v>207</v>
      </c>
      <c r="I60">
        <f t="shared" si="16"/>
        <v>295</v>
      </c>
      <c r="J60">
        <f t="shared" si="16"/>
        <v>283</v>
      </c>
      <c r="K60">
        <f t="shared" si="16"/>
        <v>411</v>
      </c>
      <c r="L60">
        <f t="shared" si="16"/>
        <v>656</v>
      </c>
      <c r="M60">
        <f t="shared" si="16"/>
        <v>1023</v>
      </c>
      <c r="N60">
        <f t="shared" si="16"/>
        <v>1029</v>
      </c>
      <c r="O60">
        <f t="shared" si="16"/>
        <v>1574</v>
      </c>
      <c r="P60">
        <f t="shared" si="16"/>
        <v>1465</v>
      </c>
      <c r="Q60">
        <f t="shared" si="16"/>
        <v>1561</v>
      </c>
    </row>
    <row r="61" spans="1:17" ht="15">
      <c r="A61" t="s">
        <v>44</v>
      </c>
      <c r="B61">
        <f aca="true" t="shared" si="17" ref="B61:Q61">B57</f>
        <v>834</v>
      </c>
      <c r="C61">
        <f t="shared" si="17"/>
        <v>825</v>
      </c>
      <c r="D61">
        <f t="shared" si="17"/>
        <v>814</v>
      </c>
      <c r="E61">
        <f t="shared" si="17"/>
        <v>1238</v>
      </c>
      <c r="F61">
        <f t="shared" si="17"/>
        <v>1077</v>
      </c>
      <c r="G61">
        <f t="shared" si="17"/>
        <v>1221</v>
      </c>
      <c r="H61">
        <f t="shared" si="17"/>
        <v>564</v>
      </c>
      <c r="I61">
        <f t="shared" si="17"/>
        <v>683</v>
      </c>
      <c r="J61">
        <f t="shared" si="17"/>
        <v>584</v>
      </c>
      <c r="K61">
        <f t="shared" si="17"/>
        <v>732</v>
      </c>
      <c r="L61">
        <f t="shared" si="17"/>
        <v>780</v>
      </c>
      <c r="M61">
        <f t="shared" si="17"/>
        <v>1547</v>
      </c>
      <c r="N61">
        <f t="shared" si="17"/>
        <v>1564</v>
      </c>
      <c r="O61">
        <f t="shared" si="17"/>
        <v>2786</v>
      </c>
      <c r="P61">
        <f t="shared" si="17"/>
        <v>2726</v>
      </c>
      <c r="Q61">
        <f t="shared" si="17"/>
        <v>2881</v>
      </c>
    </row>
    <row r="62" spans="1:17" s="1" customFormat="1" ht="15">
      <c r="A62" s="1" t="s">
        <v>47</v>
      </c>
      <c r="B62" s="3">
        <f aca="true" t="shared" si="18" ref="B62:Q62">B60/B61</f>
        <v>0.5095923261390888</v>
      </c>
      <c r="C62" s="3">
        <f t="shared" si="18"/>
        <v>0.730909090909091</v>
      </c>
      <c r="D62" s="3">
        <f t="shared" si="18"/>
        <v>0.5663390663390664</v>
      </c>
      <c r="E62" s="3">
        <f t="shared" si="18"/>
        <v>0.5848142164781907</v>
      </c>
      <c r="F62" s="3">
        <f t="shared" si="18"/>
        <v>0.38254410399257194</v>
      </c>
      <c r="G62" s="3">
        <f t="shared" si="18"/>
        <v>0.506961506961507</v>
      </c>
      <c r="H62" s="3">
        <f t="shared" si="18"/>
        <v>0.3670212765957447</v>
      </c>
      <c r="I62" s="3">
        <f t="shared" si="18"/>
        <v>0.43191800878477304</v>
      </c>
      <c r="J62" s="3">
        <f t="shared" si="18"/>
        <v>0.4845890410958904</v>
      </c>
      <c r="K62" s="3">
        <f t="shared" si="18"/>
        <v>0.5614754098360656</v>
      </c>
      <c r="L62" s="3">
        <f t="shared" si="18"/>
        <v>0.841025641025641</v>
      </c>
      <c r="M62" s="3">
        <f t="shared" si="18"/>
        <v>0.6612798965740142</v>
      </c>
      <c r="N62" s="3">
        <f t="shared" si="18"/>
        <v>0.657928388746803</v>
      </c>
      <c r="O62" s="3">
        <f t="shared" si="18"/>
        <v>0.5649676956209619</v>
      </c>
      <c r="P62" s="3">
        <f t="shared" si="18"/>
        <v>0.537417461482025</v>
      </c>
      <c r="Q62" s="3">
        <f t="shared" si="18"/>
        <v>0.5418257549461992</v>
      </c>
    </row>
    <row r="64" spans="1:16" s="1" customFormat="1" ht="15">
      <c r="A64" s="1" t="s">
        <v>45</v>
      </c>
      <c r="B64" s="3">
        <f aca="true" t="shared" si="19" ref="B64:P64">SUM(B47:C47)/SUM(B30,B39)</f>
        <v>-0.24329159212880144</v>
      </c>
      <c r="C64" s="3">
        <f t="shared" si="19"/>
        <v>-0.005517241379310344</v>
      </c>
      <c r="D64" s="3">
        <f t="shared" si="19"/>
        <v>0.0031496062992125984</v>
      </c>
      <c r="E64" s="3">
        <f t="shared" si="19"/>
        <v>-0.05414746543778802</v>
      </c>
      <c r="F64" s="3">
        <f t="shared" si="19"/>
        <v>-0.09803921568627451</v>
      </c>
      <c r="G64" s="3">
        <f t="shared" si="19"/>
        <v>-0.16578947368421051</v>
      </c>
      <c r="H64" s="3">
        <f t="shared" si="19"/>
        <v>-0.24153498871331827</v>
      </c>
      <c r="I64" s="3">
        <f t="shared" si="19"/>
        <v>-0.087890625</v>
      </c>
      <c r="J64" s="3">
        <f t="shared" si="19"/>
        <v>-0.010115606936416185</v>
      </c>
      <c r="K64" s="3">
        <f t="shared" si="19"/>
        <v>0.1152</v>
      </c>
      <c r="L64" s="3">
        <f t="shared" si="19"/>
        <v>0.18907563025210083</v>
      </c>
      <c r="M64" s="3">
        <f t="shared" si="19"/>
        <v>0.18111455108359134</v>
      </c>
      <c r="N64" s="3">
        <f t="shared" si="19"/>
        <v>0.1426553672316384</v>
      </c>
      <c r="O64" s="3">
        <f t="shared" si="19"/>
        <v>-0.023574561403508772</v>
      </c>
      <c r="P64" s="3">
        <f t="shared" si="19"/>
        <v>-0.016505406943653957</v>
      </c>
    </row>
    <row r="66" spans="1:16" ht="15">
      <c r="A66" s="1" t="s">
        <v>63</v>
      </c>
      <c r="B66">
        <f aca="true" t="shared" si="20" ref="B66:P66">SUM(B9,C9)/(-(1-B53)*SUM(B10,C10))</f>
        <v>-2.789840768522174</v>
      </c>
      <c r="C66">
        <f t="shared" si="20"/>
        <v>-1.6237280796709246</v>
      </c>
      <c r="D66">
        <f t="shared" si="20"/>
        <v>0.5185786435786436</v>
      </c>
      <c r="E66">
        <f t="shared" si="20"/>
        <v>2.4147727272727275</v>
      </c>
      <c r="F66">
        <f t="shared" si="20"/>
        <v>1.9232997335187116</v>
      </c>
      <c r="G66">
        <f t="shared" si="20"/>
        <v>2.2201946472019465</v>
      </c>
      <c r="H66">
        <f t="shared" si="20"/>
        <v>4.646531695984069</v>
      </c>
      <c r="I66">
        <f t="shared" si="20"/>
        <v>1.457321304649549</v>
      </c>
      <c r="J66">
        <f t="shared" si="20"/>
        <v>-1.6320084232692813</v>
      </c>
      <c r="K66">
        <f t="shared" si="20"/>
        <v>-14.726463104325699</v>
      </c>
      <c r="L66">
        <f t="shared" si="20"/>
        <v>-19.738276990185387</v>
      </c>
      <c r="M66">
        <f t="shared" si="20"/>
        <v>-42.36641221374045</v>
      </c>
      <c r="N66">
        <f t="shared" si="20"/>
        <v>-28.65031671268475</v>
      </c>
      <c r="O66">
        <f t="shared" si="20"/>
        <v>3.420978230138535</v>
      </c>
      <c r="P66">
        <f t="shared" si="20"/>
        <v>5.325758920646192</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63"/>
  <sheetViews>
    <sheetView zoomScalePageLayoutView="0" workbookViewId="0" topLeftCell="A1">
      <selection activeCell="A2" sqref="A2"/>
    </sheetView>
  </sheetViews>
  <sheetFormatPr defaultColWidth="9.140625" defaultRowHeight="15"/>
  <cols>
    <col min="1" max="1" width="18.57421875" style="0" bestFit="1" customWidth="1"/>
    <col min="2" max="2" width="14.8515625" style="0" bestFit="1" customWidth="1"/>
  </cols>
  <sheetData>
    <row r="1" spans="1:2" ht="15">
      <c r="A1" t="s">
        <v>64</v>
      </c>
      <c r="B1" t="s">
        <v>65</v>
      </c>
    </row>
    <row r="2" spans="1:2" ht="15">
      <c r="A2" s="8">
        <v>36285</v>
      </c>
      <c r="B2" t="s">
        <v>97</v>
      </c>
    </row>
    <row r="3" spans="1:2" ht="15">
      <c r="A3" s="8">
        <v>36565</v>
      </c>
      <c r="B3" t="s">
        <v>91</v>
      </c>
    </row>
    <row r="4" spans="1:2" ht="15">
      <c r="A4" s="8">
        <v>36588</v>
      </c>
      <c r="B4" t="s">
        <v>93</v>
      </c>
    </row>
    <row r="5" spans="1:2" ht="15">
      <c r="A5" s="8">
        <v>36601</v>
      </c>
      <c r="B5" t="s">
        <v>92</v>
      </c>
    </row>
    <row r="6" spans="1:2" ht="15">
      <c r="A6" s="9" t="s">
        <v>94</v>
      </c>
      <c r="B6" t="s">
        <v>95</v>
      </c>
    </row>
    <row r="7" spans="1:2" ht="15">
      <c r="A7" s="8">
        <v>36755</v>
      </c>
      <c r="B7" t="s">
        <v>84</v>
      </c>
    </row>
    <row r="8" spans="1:2" ht="15">
      <c r="A8" s="8">
        <v>36852</v>
      </c>
      <c r="B8" t="s">
        <v>96</v>
      </c>
    </row>
    <row r="9" spans="1:2" ht="15">
      <c r="A9" s="8">
        <v>36927</v>
      </c>
      <c r="B9" t="s">
        <v>90</v>
      </c>
    </row>
    <row r="10" spans="1:2" ht="15">
      <c r="A10" s="8">
        <v>36950</v>
      </c>
      <c r="B10" t="s">
        <v>89</v>
      </c>
    </row>
    <row r="11" spans="1:2" ht="15">
      <c r="A11" s="8">
        <v>37043</v>
      </c>
      <c r="B11" t="s">
        <v>121</v>
      </c>
    </row>
    <row r="12" spans="1:2" ht="15">
      <c r="A12" s="8">
        <v>37119</v>
      </c>
      <c r="B12" t="s">
        <v>66</v>
      </c>
    </row>
    <row r="13" spans="1:2" ht="15">
      <c r="A13" s="8">
        <v>37236</v>
      </c>
      <c r="B13" t="s">
        <v>116</v>
      </c>
    </row>
    <row r="14" spans="1:2" ht="15">
      <c r="A14" s="8">
        <v>37243</v>
      </c>
      <c r="B14" t="s">
        <v>117</v>
      </c>
    </row>
    <row r="15" spans="1:2" ht="15">
      <c r="A15" s="8">
        <v>37320</v>
      </c>
      <c r="B15" t="s">
        <v>124</v>
      </c>
    </row>
    <row r="16" spans="1:2" ht="15">
      <c r="A16" s="8">
        <v>37368</v>
      </c>
      <c r="B16" t="s">
        <v>123</v>
      </c>
    </row>
    <row r="17" spans="1:2" ht="15">
      <c r="A17" s="8">
        <v>37481</v>
      </c>
      <c r="B17" t="s">
        <v>122</v>
      </c>
    </row>
    <row r="18" spans="1:2" ht="15">
      <c r="A18" s="8">
        <v>37483</v>
      </c>
      <c r="B18" t="s">
        <v>66</v>
      </c>
    </row>
    <row r="19" spans="1:2" ht="15">
      <c r="A19" s="8">
        <v>37621</v>
      </c>
      <c r="B19" t="s">
        <v>120</v>
      </c>
    </row>
    <row r="20" spans="1:2" ht="15">
      <c r="A20" s="8">
        <v>37664</v>
      </c>
      <c r="B20" t="s">
        <v>115</v>
      </c>
    </row>
    <row r="21" spans="1:2" ht="15">
      <c r="A21" s="8">
        <v>37673</v>
      </c>
      <c r="B21" t="s">
        <v>70</v>
      </c>
    </row>
    <row r="22" spans="1:2" ht="15">
      <c r="A22" s="8">
        <v>37684</v>
      </c>
      <c r="B22" t="s">
        <v>67</v>
      </c>
    </row>
    <row r="23" spans="1:2" ht="15">
      <c r="A23" s="8">
        <v>37701</v>
      </c>
      <c r="B23" t="s">
        <v>71</v>
      </c>
    </row>
    <row r="24" spans="1:2" ht="15">
      <c r="A24" s="8">
        <v>37733</v>
      </c>
      <c r="B24" t="s">
        <v>72</v>
      </c>
    </row>
    <row r="25" spans="1:2" ht="15">
      <c r="A25" s="8">
        <v>37782</v>
      </c>
      <c r="B25" t="s">
        <v>75</v>
      </c>
    </row>
    <row r="26" spans="1:2" ht="15">
      <c r="A26" s="8">
        <v>37803</v>
      </c>
      <c r="B26" t="s">
        <v>78</v>
      </c>
    </row>
    <row r="27" spans="1:2" ht="15">
      <c r="A27" s="8">
        <v>37846</v>
      </c>
      <c r="B27" t="s">
        <v>66</v>
      </c>
    </row>
    <row r="28" spans="1:2" ht="15">
      <c r="A28" s="8">
        <v>37907</v>
      </c>
      <c r="B28" t="s">
        <v>74</v>
      </c>
    </row>
    <row r="29" spans="1:2" ht="15">
      <c r="A29" s="8">
        <v>38021</v>
      </c>
      <c r="B29" t="s">
        <v>119</v>
      </c>
    </row>
    <row r="30" spans="1:2" ht="15">
      <c r="A30" s="8">
        <v>38048</v>
      </c>
      <c r="B30" t="s">
        <v>68</v>
      </c>
    </row>
    <row r="31" spans="1:2" ht="15">
      <c r="A31" s="8">
        <v>38096</v>
      </c>
      <c r="B31" t="s">
        <v>76</v>
      </c>
    </row>
    <row r="32" spans="1:2" ht="15">
      <c r="A32" s="8">
        <v>38210</v>
      </c>
      <c r="B32" t="s">
        <v>66</v>
      </c>
    </row>
    <row r="33" spans="1:2" ht="15">
      <c r="A33" s="8">
        <v>38292</v>
      </c>
      <c r="B33" t="s">
        <v>77</v>
      </c>
    </row>
    <row r="34" spans="1:2" ht="15">
      <c r="A34" s="8">
        <v>38414</v>
      </c>
      <c r="B34" t="s">
        <v>81</v>
      </c>
    </row>
    <row r="35" spans="1:2" ht="15">
      <c r="A35" s="8">
        <v>38453</v>
      </c>
      <c r="B35" t="s">
        <v>80</v>
      </c>
    </row>
    <row r="36" spans="1:2" ht="15">
      <c r="A36" s="8">
        <v>38567</v>
      </c>
      <c r="B36" t="s">
        <v>84</v>
      </c>
    </row>
    <row r="37" spans="1:2" ht="15">
      <c r="A37" s="8">
        <v>38624</v>
      </c>
      <c r="B37" t="s">
        <v>82</v>
      </c>
    </row>
    <row r="38" spans="1:2" ht="15">
      <c r="A38" s="8">
        <v>38778</v>
      </c>
      <c r="B38" t="s">
        <v>87</v>
      </c>
    </row>
    <row r="39" spans="1:2" ht="15">
      <c r="A39" s="8">
        <v>38827</v>
      </c>
      <c r="B39" t="s">
        <v>118</v>
      </c>
    </row>
    <row r="40" spans="1:2" ht="15">
      <c r="A40" s="8">
        <v>38891</v>
      </c>
      <c r="B40" t="s">
        <v>86</v>
      </c>
    </row>
    <row r="41" spans="1:2" ht="15">
      <c r="A41" s="8">
        <v>38930</v>
      </c>
      <c r="B41" t="s">
        <v>85</v>
      </c>
    </row>
    <row r="42" spans="1:2" ht="15">
      <c r="A42" s="8">
        <v>39036</v>
      </c>
      <c r="B42" t="s">
        <v>83</v>
      </c>
    </row>
    <row r="43" spans="1:2" ht="15">
      <c r="A43" s="8">
        <v>39065</v>
      </c>
      <c r="B43" t="s">
        <v>79</v>
      </c>
    </row>
    <row r="44" spans="1:2" ht="15">
      <c r="A44" s="8">
        <v>39140</v>
      </c>
      <c r="B44" t="s">
        <v>88</v>
      </c>
    </row>
    <row r="45" spans="1:2" ht="15">
      <c r="A45" s="8">
        <v>39293</v>
      </c>
      <c r="B45" t="s">
        <v>73</v>
      </c>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4"/>
  <sheetViews>
    <sheetView zoomScalePageLayoutView="0" workbookViewId="0" topLeftCell="A1">
      <selection activeCell="A10" sqref="A10"/>
    </sheetView>
  </sheetViews>
  <sheetFormatPr defaultColWidth="9.140625" defaultRowHeight="15"/>
  <cols>
    <col min="1" max="1" width="18.140625" style="0" bestFit="1" customWidth="1"/>
    <col min="2" max="2" width="19.7109375" style="0" bestFit="1" customWidth="1"/>
  </cols>
  <sheetData>
    <row r="1" spans="1:2" ht="15">
      <c r="A1" t="s">
        <v>64</v>
      </c>
      <c r="B1" t="s">
        <v>99</v>
      </c>
    </row>
    <row r="2" spans="1:2" ht="15">
      <c r="A2" s="8">
        <v>36502</v>
      </c>
      <c r="B2" t="s">
        <v>98</v>
      </c>
    </row>
    <row r="3" spans="1:2" ht="15">
      <c r="A3" s="8">
        <v>36598</v>
      </c>
      <c r="B3" t="s">
        <v>100</v>
      </c>
    </row>
    <row r="4" spans="1:2" ht="15">
      <c r="A4" s="8">
        <v>36852</v>
      </c>
      <c r="B4" t="s">
        <v>98</v>
      </c>
    </row>
    <row r="5" spans="1:2" ht="15">
      <c r="A5" s="8">
        <v>37203</v>
      </c>
      <c r="B5" t="s">
        <v>101</v>
      </c>
    </row>
    <row r="6" spans="1:2" ht="15">
      <c r="A6" s="8">
        <v>37285</v>
      </c>
      <c r="B6" t="s">
        <v>102</v>
      </c>
    </row>
    <row r="7" spans="1:2" ht="15">
      <c r="A7" s="8">
        <v>37580</v>
      </c>
      <c r="B7" t="s">
        <v>103</v>
      </c>
    </row>
    <row r="8" spans="1:2" ht="15">
      <c r="A8" s="8">
        <v>37648</v>
      </c>
      <c r="B8" t="s">
        <v>104</v>
      </c>
    </row>
    <row r="9" spans="1:2" ht="15">
      <c r="A9" s="8">
        <v>37679</v>
      </c>
      <c r="B9" t="s">
        <v>105</v>
      </c>
    </row>
    <row r="10" spans="1:2" ht="15">
      <c r="A10" s="8">
        <v>37693</v>
      </c>
      <c r="B10" t="s">
        <v>106</v>
      </c>
    </row>
    <row r="11" spans="1:2" ht="15">
      <c r="A11" s="8">
        <v>37784</v>
      </c>
      <c r="B11" t="s">
        <v>107</v>
      </c>
    </row>
    <row r="12" spans="1:2" ht="15">
      <c r="A12" s="8">
        <v>37792</v>
      </c>
      <c r="B12" t="s">
        <v>108</v>
      </c>
    </row>
    <row r="13" spans="1:2" ht="15">
      <c r="A13" s="8">
        <v>38002</v>
      </c>
      <c r="B13" t="s">
        <v>109</v>
      </c>
    </row>
    <row r="14" spans="1:2" ht="15">
      <c r="A14" s="8">
        <v>38026</v>
      </c>
      <c r="B14" t="s">
        <v>110</v>
      </c>
    </row>
    <row r="15" spans="1:2" ht="15">
      <c r="A15" s="8">
        <v>38471</v>
      </c>
      <c r="B15" t="s">
        <v>111</v>
      </c>
    </row>
    <row r="16" spans="1:2" ht="15">
      <c r="A16" s="8">
        <v>38736</v>
      </c>
      <c r="B16" t="s">
        <v>112</v>
      </c>
    </row>
    <row r="17" spans="1:2" ht="15">
      <c r="A17" s="8">
        <v>38783</v>
      </c>
      <c r="B17" t="s">
        <v>104</v>
      </c>
    </row>
    <row r="18" spans="1:2" ht="15">
      <c r="A18" s="8">
        <v>38965</v>
      </c>
      <c r="B18" t="s">
        <v>113</v>
      </c>
    </row>
    <row r="19" spans="1:2" ht="15">
      <c r="A19" s="8">
        <v>39294</v>
      </c>
      <c r="B19" t="s">
        <v>107</v>
      </c>
    </row>
    <row r="20" spans="1:2" ht="15">
      <c r="A20" s="8">
        <v>39394</v>
      </c>
      <c r="B20" t="s">
        <v>114</v>
      </c>
    </row>
    <row r="21" ht="15">
      <c r="A21" s="8"/>
    </row>
    <row r="22" ht="15">
      <c r="A22" s="8"/>
    </row>
    <row r="23" ht="15">
      <c r="A23" s="8"/>
    </row>
    <row r="24" ht="15">
      <c r="A24"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E.Peek</dc:creator>
  <cp:keywords/>
  <dc:description/>
  <cp:lastModifiedBy>E.Peek</cp:lastModifiedBy>
  <dcterms:created xsi:type="dcterms:W3CDTF">2009-10-19T13:45:37Z</dcterms:created>
  <dcterms:modified xsi:type="dcterms:W3CDTF">2010-04-13T13:56:34Z</dcterms:modified>
  <cp:category/>
  <cp:version/>
  <cp:contentType/>
  <cp:contentStatus/>
</cp:coreProperties>
</file>